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5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<sst xmlns="http://schemas.openxmlformats.org/spreadsheetml/2006/main" count="51" uniqueCount="49">
  <si>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Qest [m3/s]</t>
  </si>
  <si>
    <t>L [m]</t>
  </si>
  <si>
    <t>g [m/s2]</t>
  </si>
  <si>
    <t>nu [m2/s]</t>
  </si>
  <si>
    <t>Kp [-]</t>
  </si>
  <si>
    <t>k [mm]</t>
  </si>
  <si>
    <t>e [mm]</t>
  </si>
  <si>
    <t>Length</t>
  </si>
  <si>
    <t>Roughness</t>
  </si>
  <si>
    <t>Punctual losses</t>
  </si>
  <si>
    <t>Diameter</t>
  </si>
  <si>
    <t>Thickness</t>
  </si>
  <si>
    <t>Young modulus</t>
  </si>
  <si>
    <t>k [GPa]</t>
  </si>
  <si>
    <t>c [m/s]</t>
  </si>
  <si>
    <r>
      <t>ρ</t>
    </r>
    <r>
      <rPr>
        <sz val="10"/>
        <rFont val="Arial"/>
        <family val="0"/>
      </rPr>
      <t xml:space="preserve"> [kg/m3]</t>
    </r>
  </si>
  <si>
    <t>D [mm]</t>
  </si>
  <si>
    <t>R Time</t>
  </si>
  <si>
    <t>v</t>
  </si>
  <si>
    <t>a</t>
  </si>
  <si>
    <t>Re</t>
  </si>
  <si>
    <t>fs</t>
  </si>
  <si>
    <t>b</t>
  </si>
  <si>
    <t>h0</t>
  </si>
  <si>
    <t>Δh [m]</t>
  </si>
  <si>
    <t>Klp</t>
  </si>
  <si>
    <t>Profile</t>
  </si>
  <si>
    <t>Closure time</t>
  </si>
  <si>
    <t>t [s]</t>
  </si>
  <si>
    <t>Estimated flow</t>
  </si>
  <si>
    <t>X Distance</t>
  </si>
  <si>
    <t>X cum</t>
  </si>
  <si>
    <t>Static</t>
  </si>
  <si>
    <t>-hv max</t>
  </si>
  <si>
    <t>+hv max</t>
  </si>
  <si>
    <t>-ht max</t>
  </si>
  <si>
    <t>+ht max</t>
  </si>
  <si>
    <t>hv att</t>
  </si>
  <si>
    <t>ht att</t>
  </si>
  <si>
    <t>v1</t>
  </si>
  <si>
    <t>Dynamic</t>
  </si>
  <si>
    <t>Cum length</t>
  </si>
  <si>
    <t>Pt</t>
  </si>
  <si>
    <t>Enveloppe</t>
  </si>
  <si>
    <t>Nominal pressure</t>
  </si>
  <si>
    <t>PN [bar]</t>
  </si>
  <si>
    <t>Sup</t>
  </si>
  <si>
    <t>Inf</t>
  </si>
  <si>
    <t>Elev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</si>
</sst>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0.000E+00"/>
    <numFmt numFmtId="171" formatCode="0.0E+00"/>
    <numFmt numFmtId="172" formatCode="#,##0.000000"/>
    <numFmt numFmtId="173" formatCode="0.000"/>
    <numFmt numFmtId="174" formatCode="#,##0.000"/>
    <numFmt numFmtId="175" formatCode="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_ * #,##0_ ;_ * \-#,##0_ ;_ * &quot;-&quot;??_ ;_ @_ "/>
    <numFmt numFmtId="183" formatCode="0.0000000000000"/>
    <numFmt numFmtId="184" formatCode="0.000000000000"/>
    <numFmt numFmtId="185" formatCode="0.00000000000"/>
    <numFmt numFmtId="186" formatCode="0.0000000000"/>
    <numFmt numFmtId="187" formatCode="_ * #,##0.0_ ;_ * \-#,##0.0_ ;_ * &quot;-&quot;??_ ;_ @_ "/>
    <numFmt numFmtId="188" formatCode="0E+00"/>
    <numFmt numFmtId="189" formatCode="#.####0"/>
    <numFmt numFmtId="190" formatCode="[$-100C]dddd\,\ d\.\ mmmm\ yyyy"/>
    <numFmt numFmtId="191" formatCode="0.0E+0"/>
    <numFmt numFmtId="192" formatCode="_ * #,##0.0_ ;_ * \-#,##0.0_ ;_ * &quot;-&quot;?_ ;_ @_ "/>
    <numFmt numFmtId="193" formatCode="_ * #,##0"/>
    <numFmt numFmtId="194" formatCode="_ * #,##0.000_ ;_ * \-#,##0.000_ ;_ * &quot;-&quot;??_ ;_ @_ "/>
    <numFmt numFmtId="195" formatCode="_ * #,##0.0000_ ;_ * \-#,##0.0000_ ;_ * &quot;-&quot;??_ ;_ @_ 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8.25"/>
      <name val="Arial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11" fontId="4" fillId="2" borderId="0" xfId="0" applyNumberFormat="1" applyFont="1" applyFill="1" applyAlignment="1">
      <alignment/>
    </xf>
    <xf numFmtId="0" fontId="4" fillId="0" borderId="0" xfId="0" applyNumberFormat="1" applyFont="1" applyAlignment="1">
      <alignment horizontal="left"/>
    </xf>
    <xf numFmtId="2" fontId="4" fillId="3" borderId="0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1" fontId="4" fillId="4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82" fontId="4" fillId="4" borderId="0" xfId="0" applyNumberFormat="1" applyFont="1" applyFill="1" applyAlignment="1">
      <alignment/>
    </xf>
    <xf numFmtId="0" fontId="4" fillId="0" borderId="0" xfId="0" applyNumberFormat="1" applyFont="1" applyAlignment="1" quotePrefix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182" fontId="4" fillId="3" borderId="0" xfId="15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" fontId="4" fillId="3" borderId="0" xfId="0" applyNumberFormat="1" applyFont="1" applyFill="1" applyAlignment="1">
      <alignment/>
    </xf>
    <xf numFmtId="0" fontId="1" fillId="0" borderId="0" xfId="0" applyNumberFormat="1" applyFont="1" applyAlignment="1">
      <alignment horizontal="left"/>
    </xf>
    <xf numFmtId="180" fontId="4" fillId="2" borderId="0" xfId="0" applyNumberFormat="1" applyFont="1" applyFill="1" applyAlignment="1">
      <alignment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4" borderId="0" xfId="0" applyNumberFormat="1" applyFont="1" applyFill="1" applyAlignment="1">
      <alignment/>
    </xf>
    <xf numFmtId="0" fontId="4" fillId="5" borderId="0" xfId="0" applyFont="1" applyFill="1" applyAlignment="1">
      <alignment/>
    </xf>
    <xf numFmtId="182" fontId="4" fillId="0" borderId="0" xfId="15" applyNumberFormat="1" applyFont="1" applyAlignment="1">
      <alignment/>
    </xf>
    <xf numFmtId="0" fontId="4" fillId="0" borderId="0" xfId="0" applyFont="1" applyAlignment="1">
      <alignment/>
    </xf>
    <xf numFmtId="182" fontId="4" fillId="4" borderId="0" xfId="0" applyNumberFormat="1" applyFont="1" applyFill="1" applyAlignment="1">
      <alignment/>
    </xf>
    <xf numFmtId="0" fontId="4" fillId="5" borderId="0" xfId="0" applyFont="1" applyFill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43" fontId="4" fillId="4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4" fillId="4" borderId="0" xfId="0" applyNumberFormat="1" applyFont="1" applyFill="1" applyAlignment="1">
      <alignment horizontal="center"/>
    </xf>
    <xf numFmtId="175" fontId="4" fillId="4" borderId="0" xfId="0" applyNumberFormat="1" applyFont="1" applyFill="1" applyAlignment="1">
      <alignment horizontal="center"/>
    </xf>
    <xf numFmtId="194" fontId="4" fillId="3" borderId="0" xfId="15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Developed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5925"/>
          <c:w val="0.99075"/>
          <c:h val="0.916"/>
        </c:manualLayout>
      </c:layout>
      <c:scatterChart>
        <c:scatterStyle val="lineMarker"/>
        <c:varyColors val="0"/>
        <c:ser>
          <c:idx val="0"/>
          <c:order val="0"/>
          <c:tx>
            <c:v>Pipe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Sheet1!$R$3:$R$10</c:f>
              <c:numCache/>
            </c:numRef>
          </c:xVal>
          <c:yVal>
            <c:numRef>
              <c:f>Sheet1!$Q$3:$Q$10</c:f>
              <c:numCache/>
            </c:numRef>
          </c:yVal>
          <c:smooth val="0"/>
        </c:ser>
        <c:ser>
          <c:idx val="1"/>
          <c:order val="1"/>
          <c:tx>
            <c:strRef>
              <c:f>Sheet1!$X$2</c:f>
              <c:strCache>
                <c:ptCount val="1"/>
                <c:pt idx="0">
                  <c:v>Static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Sheet1!$W$3:$W$5</c:f>
              <c:numCache/>
            </c:numRef>
          </c:xVal>
          <c:yVal>
            <c:numRef>
              <c:f>Sheet1!$X$3:$X$5</c:f>
              <c:numCache/>
            </c:numRef>
          </c:yVal>
          <c:smooth val="0"/>
        </c:ser>
        <c:ser>
          <c:idx val="2"/>
          <c:order val="2"/>
          <c:tx>
            <c:strRef>
              <c:f>Sheet1!$Y$2</c:f>
              <c:strCache>
                <c:ptCount val="1"/>
                <c:pt idx="0">
                  <c:v>Dynamic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Sheet1!$W$3:$W$5</c:f>
              <c:numCache/>
            </c:numRef>
          </c:xVal>
          <c:yVal>
            <c:numRef>
              <c:f>Sheet1!$Y$3:$Y$5</c:f>
              <c:numCache/>
            </c:numRef>
          </c:yVal>
          <c:smooth val="0"/>
        </c:ser>
        <c:ser>
          <c:idx val="3"/>
          <c:order val="3"/>
          <c:tx>
            <c:v>Env sup</c:v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Sheet1!$W$3:$W$6</c:f>
              <c:numCache/>
            </c:numRef>
          </c:xVal>
          <c:yVal>
            <c:numRef>
              <c:f>Sheet1!$Z$3:$Z$6</c:f>
              <c:numCache/>
            </c:numRef>
          </c:yVal>
          <c:smooth val="0"/>
        </c:ser>
        <c:ser>
          <c:idx val="4"/>
          <c:order val="4"/>
          <c:tx>
            <c:v>Env inf</c:v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Sheet1!$W$3:$W$6</c:f>
              <c:numCache/>
            </c:numRef>
          </c:xVal>
          <c:yVal>
            <c:numRef>
              <c:f>Sheet1!$AA$3:$AA$6</c:f>
              <c:numCache/>
            </c:numRef>
          </c:yVal>
          <c:smooth val="0"/>
        </c:ser>
        <c:ser>
          <c:idx val="5"/>
          <c:order val="5"/>
          <c:tx>
            <c:v>Envsup 2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(Sheet1!$W$3,Sheet1!$W$4,Sheet1!$W$6)</c:f>
              <c:numCache/>
            </c:numRef>
          </c:xVal>
          <c:yVal>
            <c:numRef>
              <c:f>(Sheet1!$Z$3,Sheet1!$Z$4,Sheet1!$Z$6)</c:f>
              <c:numCache/>
            </c:numRef>
          </c:yVal>
          <c:smooth val="0"/>
        </c:ser>
        <c:ser>
          <c:idx val="6"/>
          <c:order val="6"/>
          <c:tx>
            <c:v>Env inf 2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(Sheet1!$W$3,Sheet1!$W$4,Sheet1!$W$6)</c:f>
              <c:numCache/>
            </c:numRef>
          </c:xVal>
          <c:yVal>
            <c:numRef>
              <c:f>(Sheet1!$AA$3,Sheet1!$AA$4,Sheet1!$AA$6)</c:f>
              <c:numCache/>
            </c:numRef>
          </c:yVal>
          <c:smooth val="0"/>
        </c:ser>
        <c:ser>
          <c:idx val="7"/>
          <c:order val="7"/>
          <c:tx>
            <c:v>Max pres</c:v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Sheet1!$R$3:$R$10</c:f>
              <c:numCache/>
            </c:numRef>
          </c:xVal>
          <c:yVal>
            <c:numRef>
              <c:f>Sheet1!$U$3:$U$10</c:f>
              <c:numCache/>
            </c:numRef>
          </c:yVal>
          <c:smooth val="0"/>
        </c:ser>
        <c:ser>
          <c:idx val="8"/>
          <c:order val="8"/>
          <c:tx>
            <c:v>Min pres</c:v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Sheet1!$R$3:$R$10</c:f>
              <c:numCache/>
            </c:numRef>
          </c:xVal>
          <c:yVal>
            <c:numRef>
              <c:f>Sheet1!$V$3:$V$10</c:f>
              <c:numCache/>
            </c:numRef>
          </c:yVal>
          <c:smooth val="0"/>
        </c:ser>
        <c:axId val="64741298"/>
        <c:axId val="45800771"/>
      </c:scatterChart>
      <c:valAx>
        <c:axId val="64741298"/>
        <c:scaling>
          <c:orientation val="minMax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800771"/>
        <c:crossesAt val="-10"/>
        <c:crossBetween val="midCat"/>
        <c:dispUnits/>
      </c:valAx>
      <c:valAx>
        <c:axId val="45800771"/>
        <c:scaling>
          <c:orientation val="minMax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741298"/>
        <c:crossesAt val="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38275"/>
          <c:w val="0.099"/>
          <c:h val="0.51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Profile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Sheet1!$T$3:$T$10</c:f>
              <c:numCache/>
            </c:numRef>
          </c:xVal>
          <c:yVal>
            <c:numRef>
              <c:f>Sheet1!$Q$3:$Q$10</c:f>
              <c:numCache/>
            </c:numRef>
          </c:yVal>
          <c:smooth val="0"/>
        </c:ser>
        <c:axId val="9553756"/>
        <c:axId val="18874941"/>
      </c:scatterChart>
      <c:valAx>
        <c:axId val="9553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74941"/>
        <c:crosses val="autoZero"/>
        <c:crossBetween val="midCat"/>
        <c:dispUnits/>
      </c:valAx>
      <c:valAx>
        <c:axId val="188749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537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10</xdr:row>
      <xdr:rowOff>152400</xdr:rowOff>
    </xdr:from>
    <xdr:to>
      <xdr:col>23</xdr:col>
      <xdr:colOff>66675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04775" y="1771650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390525</xdr:colOff>
      <xdr:row>10</xdr:row>
      <xdr:rowOff>171450</xdr:rowOff>
    </xdr:from>
    <xdr:to>
      <xdr:col>30</xdr:col>
      <xdr:colOff>609600</xdr:colOff>
      <xdr:row>26</xdr:row>
      <xdr:rowOff>47625</xdr:rowOff>
    </xdr:to>
    <xdr:graphicFrame>
      <xdr:nvGraphicFramePr>
        <xdr:cNvPr id="2" name="Chart 2"/>
        <xdr:cNvGraphicFramePr/>
      </xdr:nvGraphicFramePr>
      <xdr:xfrm>
        <a:off x="10801350" y="1790700"/>
        <a:ext cx="42195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workbookViewId="0" topLeftCell="A1">
      <selection activeCell="D3" sqref="D3"/>
    </sheetView>
  </sheetViews>
  <sheetFormatPr defaultColWidth="8.88671875" defaultRowHeight="15"/>
  <cols>
    <col min="1" max="1" width="11.3359375" style="28" customWidth="1"/>
    <col min="2" max="2" width="8.4453125" style="28" bestFit="1" customWidth="1"/>
    <col min="3" max="3" width="3.10546875" style="28" customWidth="1"/>
    <col min="4" max="4" width="5.88671875" style="28" bestFit="1" customWidth="1"/>
    <col min="5" max="5" width="3.4453125" style="28" customWidth="1"/>
    <col min="6" max="6" width="6.88671875" style="28" bestFit="1" customWidth="1"/>
    <col min="7" max="7" width="6.5546875" style="28" bestFit="1" customWidth="1"/>
    <col min="8" max="8" width="4.10546875" style="28" customWidth="1"/>
    <col min="9" max="9" width="3.10546875" style="28" bestFit="1" customWidth="1"/>
    <col min="10" max="10" width="6.5546875" style="28" bestFit="1" customWidth="1"/>
    <col min="11" max="11" width="3.21484375" style="28" customWidth="1"/>
    <col min="12" max="12" width="5.6640625" style="28" bestFit="1" customWidth="1"/>
    <col min="13" max="13" width="4.4453125" style="28" bestFit="1" customWidth="1"/>
    <col min="14" max="14" width="3.5546875" style="28" customWidth="1"/>
    <col min="15" max="15" width="3.77734375" style="28" customWidth="1"/>
    <col min="16" max="16" width="5.10546875" style="28" bestFit="1" customWidth="1"/>
    <col min="17" max="17" width="3.5546875" style="28" bestFit="1" customWidth="1"/>
    <col min="18" max="18" width="5.21484375" style="28" customWidth="1"/>
    <col min="19" max="19" width="7.6640625" style="28" bestFit="1" customWidth="1"/>
    <col min="20" max="20" width="4.99609375" style="28" customWidth="1"/>
    <col min="21" max="22" width="3.99609375" style="28" bestFit="1" customWidth="1"/>
    <col min="23" max="23" width="6.77734375" style="28" customWidth="1"/>
    <col min="24" max="24" width="5.4453125" style="28" bestFit="1" customWidth="1"/>
    <col min="25" max="25" width="4.77734375" style="28" customWidth="1"/>
    <col min="26" max="26" width="5.10546875" style="28" customWidth="1"/>
    <col min="27" max="27" width="4.6640625" style="28" customWidth="1"/>
    <col min="28" max="16384" width="8.88671875" style="28" customWidth="1"/>
  </cols>
  <sheetData>
    <row r="1" spans="1:26" s="24" customFormat="1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"/>
      <c r="L1" s="1"/>
      <c r="M1" s="1"/>
      <c r="N1" s="1"/>
      <c r="P1" s="24" t="s">
        <v>26</v>
      </c>
      <c r="Z1" s="24" t="s">
        <v>43</v>
      </c>
    </row>
    <row r="2" spans="1:27" s="24" customFormat="1" ht="12.75">
      <c r="A2" s="3" t="s">
        <v>7</v>
      </c>
      <c r="B2" s="21" t="s">
        <v>1</v>
      </c>
      <c r="C2" s="14"/>
      <c r="D2" s="25">
        <f>SUM(P3:P10)</f>
        <v>5000</v>
      </c>
      <c r="E2" s="2"/>
      <c r="F2" s="4" t="s">
        <v>2</v>
      </c>
      <c r="G2" s="5">
        <v>9.81</v>
      </c>
      <c r="H2" s="14"/>
      <c r="I2" s="14"/>
      <c r="J2" s="14"/>
      <c r="K2" s="1"/>
      <c r="L2" s="1"/>
      <c r="M2" s="1"/>
      <c r="N2" s="1"/>
      <c r="O2" s="24" t="s">
        <v>42</v>
      </c>
      <c r="P2" s="24" t="s">
        <v>7</v>
      </c>
      <c r="Q2" s="24" t="s">
        <v>48</v>
      </c>
      <c r="R2" s="24" t="s">
        <v>41</v>
      </c>
      <c r="S2" s="24" t="s">
        <v>30</v>
      </c>
      <c r="T2" s="24" t="s">
        <v>31</v>
      </c>
      <c r="X2" s="24" t="s">
        <v>32</v>
      </c>
      <c r="Y2" s="24" t="s">
        <v>40</v>
      </c>
      <c r="Z2" s="24" t="s">
        <v>46</v>
      </c>
      <c r="AA2" s="24" t="s">
        <v>47</v>
      </c>
    </row>
    <row r="3" spans="1:27" s="24" customFormat="1" ht="12.75">
      <c r="A3" s="3" t="s">
        <v>8</v>
      </c>
      <c r="B3" s="21" t="s">
        <v>5</v>
      </c>
      <c r="C3" s="14"/>
      <c r="D3" s="9">
        <v>0.007</v>
      </c>
      <c r="E3" s="2"/>
      <c r="F3" s="7" t="s">
        <v>3</v>
      </c>
      <c r="G3" s="6">
        <v>1.007E-06</v>
      </c>
      <c r="H3" s="14"/>
      <c r="I3" s="14" t="s">
        <v>18</v>
      </c>
      <c r="J3" s="37">
        <f>D9/(($D$5/1000)^2*PI()/4)</f>
        <v>1.9821306550541622</v>
      </c>
      <c r="K3" s="1"/>
      <c r="L3" s="13" t="s">
        <v>33</v>
      </c>
      <c r="M3" s="12">
        <f>G7/G2*J3</f>
        <v>55.46182455833768</v>
      </c>
      <c r="N3" s="1"/>
      <c r="O3" s="24">
        <v>1</v>
      </c>
      <c r="P3" s="26">
        <v>0</v>
      </c>
      <c r="Q3" s="26">
        <v>0</v>
      </c>
      <c r="R3" s="27">
        <f>P3</f>
        <v>0</v>
      </c>
      <c r="S3" s="27">
        <v>0</v>
      </c>
      <c r="T3" s="27">
        <f>S3</f>
        <v>0</v>
      </c>
      <c r="U3" s="27">
        <f>Q3+$D$7*10</f>
        <v>125</v>
      </c>
      <c r="V3" s="27">
        <f>Q3-10</f>
        <v>-10</v>
      </c>
      <c r="W3" s="27">
        <v>0</v>
      </c>
      <c r="X3" s="27">
        <f>$Q$10</f>
        <v>35</v>
      </c>
      <c r="Y3" s="27">
        <f>X3+$J$9*($D$2-W3)/$D$2</f>
        <v>124.9409359773423</v>
      </c>
      <c r="Z3" s="27">
        <f>X3+M5</f>
        <v>64.6890386192478</v>
      </c>
      <c r="AA3" s="27">
        <f>X3-M3</f>
        <v>-20.461824558337682</v>
      </c>
    </row>
    <row r="4" spans="1:27" s="24" customFormat="1" ht="12.75">
      <c r="A4" s="3" t="s">
        <v>9</v>
      </c>
      <c r="B4" s="21" t="s">
        <v>4</v>
      </c>
      <c r="C4" s="14"/>
      <c r="D4" s="9">
        <v>0</v>
      </c>
      <c r="E4" s="2"/>
      <c r="F4" s="4" t="s">
        <v>13</v>
      </c>
      <c r="G4" s="5">
        <v>2.2</v>
      </c>
      <c r="H4" s="14"/>
      <c r="I4" s="14" t="s">
        <v>20</v>
      </c>
      <c r="J4" s="16">
        <f>ABS(J3*$D$5/G3/1000)</f>
        <v>322022.4182391866</v>
      </c>
      <c r="K4" s="1"/>
      <c r="L4" s="1" t="s">
        <v>37</v>
      </c>
      <c r="M4" s="12">
        <f>(G7*(SQRT(1+2*J6*J3/G7)-1))^2/(2*G2*J6)</f>
        <v>25.772785939089882</v>
      </c>
      <c r="N4" s="1"/>
      <c r="O4" s="24">
        <v>2</v>
      </c>
      <c r="P4" s="26">
        <v>700</v>
      </c>
      <c r="Q4" s="26">
        <v>0</v>
      </c>
      <c r="R4" s="27">
        <f aca="true" t="shared" si="0" ref="R4:R10">R3+P4</f>
        <v>700</v>
      </c>
      <c r="S4" s="27">
        <f>SQRT(P4^2-(Q4-Q3)^2)</f>
        <v>700</v>
      </c>
      <c r="T4" s="27">
        <f>T3+S4</f>
        <v>700</v>
      </c>
      <c r="U4" s="27">
        <f aca="true" t="shared" si="1" ref="U4:U10">Q4+$D$7*10</f>
        <v>125</v>
      </c>
      <c r="V4" s="27">
        <f aca="true" t="shared" si="2" ref="V4:V10">Q4-10</f>
        <v>-10</v>
      </c>
      <c r="W4" s="27">
        <f>W5-D10*G7/2</f>
        <v>4725.507247703394</v>
      </c>
      <c r="X4" s="27">
        <f>$X$3</f>
        <v>35</v>
      </c>
      <c r="Y4" s="27">
        <f>X4+$J$9*($D$2-W4)/$D$2</f>
        <v>39.93762701211071</v>
      </c>
      <c r="Z4" s="27">
        <f>Z3+W4*(Z5-Z3)/(W5-W3)</f>
        <v>44.184665825185085</v>
      </c>
      <c r="AA4" s="27">
        <f>AA3+W4*(AA5-AA3)/(W5-W3)</f>
        <v>22.039829924278116</v>
      </c>
    </row>
    <row r="5" spans="1:27" s="24" customFormat="1" ht="12.75">
      <c r="A5" s="3" t="s">
        <v>10</v>
      </c>
      <c r="B5" s="21" t="s">
        <v>16</v>
      </c>
      <c r="C5" s="14"/>
      <c r="D5" s="9">
        <f>163.6</f>
        <v>163.6</v>
      </c>
      <c r="E5" s="2"/>
      <c r="F5" s="4" t="s">
        <v>15</v>
      </c>
      <c r="G5" s="5">
        <v>998.2</v>
      </c>
      <c r="H5" s="14"/>
      <c r="I5" s="14" t="s">
        <v>21</v>
      </c>
      <c r="J5" s="17">
        <f>8*((8/J4)^12+1/((2.457*LN(1/((7/J4)^0.9+0.27*$D$3/$D$5)))^16+(37530/J4)^16)^1.5)^(1/12)</f>
        <v>0.01469620306855893</v>
      </c>
      <c r="K5" s="1"/>
      <c r="L5" s="13" t="s">
        <v>34</v>
      </c>
      <c r="M5" s="12">
        <f>M3-M4</f>
        <v>29.6890386192478</v>
      </c>
      <c r="N5" s="1"/>
      <c r="O5" s="24">
        <v>3</v>
      </c>
      <c r="P5" s="26">
        <v>1000</v>
      </c>
      <c r="Q5" s="26">
        <v>20</v>
      </c>
      <c r="R5" s="27">
        <f t="shared" si="0"/>
        <v>1700</v>
      </c>
      <c r="S5" s="27">
        <f aca="true" t="shared" si="3" ref="S5:S10">SQRT(P5^2-(Q5-Q4)^2)</f>
        <v>999.799979995999</v>
      </c>
      <c r="T5" s="27">
        <f aca="true" t="shared" si="4" ref="T5:T10">T4+S5</f>
        <v>1699.799979995999</v>
      </c>
      <c r="U5" s="27">
        <f t="shared" si="1"/>
        <v>145</v>
      </c>
      <c r="V5" s="27">
        <f t="shared" si="2"/>
        <v>10</v>
      </c>
      <c r="W5" s="27">
        <f>$D$2</f>
        <v>5000</v>
      </c>
      <c r="X5" s="27">
        <f>$X$3</f>
        <v>35</v>
      </c>
      <c r="Y5" s="27">
        <f>X5+$J$9*($D$2-W5)/$D$2</f>
        <v>35</v>
      </c>
      <c r="Z5" s="27">
        <f>X3+M8</f>
        <v>42.99361872117455</v>
      </c>
      <c r="AA5" s="27">
        <f>X3-M6</f>
        <v>24.50864343033347</v>
      </c>
    </row>
    <row r="6" spans="1:27" s="24" customFormat="1" ht="12.75">
      <c r="A6" s="3" t="s">
        <v>11</v>
      </c>
      <c r="B6" s="21" t="s">
        <v>6</v>
      </c>
      <c r="C6" s="14"/>
      <c r="D6" s="9">
        <v>18.2</v>
      </c>
      <c r="E6" s="2"/>
      <c r="F6" s="4"/>
      <c r="G6" s="4"/>
      <c r="H6" s="14"/>
      <c r="I6" s="14" t="s">
        <v>25</v>
      </c>
      <c r="J6" s="18">
        <f>J5*D2/(D5/1000)+D4</f>
        <v>449.15046053052964</v>
      </c>
      <c r="K6" s="1"/>
      <c r="L6" s="13" t="s">
        <v>35</v>
      </c>
      <c r="M6" s="12">
        <f>M3-J9/2</f>
        <v>10.491356569666529</v>
      </c>
      <c r="N6" s="1"/>
      <c r="O6" s="24">
        <v>4</v>
      </c>
      <c r="P6" s="26">
        <v>1000</v>
      </c>
      <c r="Q6" s="26">
        <v>30</v>
      </c>
      <c r="R6" s="27">
        <f t="shared" si="0"/>
        <v>2700</v>
      </c>
      <c r="S6" s="27">
        <f t="shared" si="3"/>
        <v>999.9499987499375</v>
      </c>
      <c r="T6" s="27">
        <f t="shared" si="4"/>
        <v>2699.7499787459365</v>
      </c>
      <c r="U6" s="27">
        <f t="shared" si="1"/>
        <v>155</v>
      </c>
      <c r="V6" s="27">
        <f t="shared" si="2"/>
        <v>20</v>
      </c>
      <c r="W6" s="27">
        <f>$D$2</f>
        <v>5000</v>
      </c>
      <c r="X6" s="27"/>
      <c r="Y6" s="27"/>
      <c r="Z6" s="27">
        <f>$X$3</f>
        <v>35</v>
      </c>
      <c r="AA6" s="27">
        <f>$X$3</f>
        <v>35</v>
      </c>
    </row>
    <row r="7" spans="1:27" ht="12.75">
      <c r="A7" s="22" t="s">
        <v>44</v>
      </c>
      <c r="B7" s="23" t="s">
        <v>45</v>
      </c>
      <c r="D7" s="34">
        <v>12.5</v>
      </c>
      <c r="E7" s="14"/>
      <c r="F7" s="11" t="s">
        <v>14</v>
      </c>
      <c r="G7" s="10">
        <f>SQRT((G4*1000000000/G5)/(1+D5/D6*G4/D8))</f>
        <v>274.49275229660657</v>
      </c>
      <c r="H7" s="2"/>
      <c r="I7" s="2" t="s">
        <v>19</v>
      </c>
      <c r="J7" s="8">
        <f>(J5*D2/(D5/1000)+D4)/(2*G2)</f>
        <v>22.892480149364406</v>
      </c>
      <c r="K7" s="4"/>
      <c r="L7" s="4" t="s">
        <v>38</v>
      </c>
      <c r="M7" s="29">
        <f>(G7*(SQRT(1+J6*M9/G7)-1))^2/(G2*J6)*2</f>
        <v>2.497737848491977</v>
      </c>
      <c r="N7" s="4"/>
      <c r="O7" s="28">
        <v>5</v>
      </c>
      <c r="P7" s="30">
        <v>2000</v>
      </c>
      <c r="Q7" s="30">
        <v>30</v>
      </c>
      <c r="R7" s="27">
        <f t="shared" si="0"/>
        <v>4700</v>
      </c>
      <c r="S7" s="27">
        <f t="shared" si="3"/>
        <v>2000</v>
      </c>
      <c r="T7" s="27">
        <f t="shared" si="4"/>
        <v>4699.7499787459365</v>
      </c>
      <c r="U7" s="27">
        <f t="shared" si="1"/>
        <v>155</v>
      </c>
      <c r="V7" s="27">
        <f t="shared" si="2"/>
        <v>20</v>
      </c>
      <c r="W7" s="27"/>
      <c r="X7" s="27"/>
      <c r="Y7" s="27"/>
      <c r="Z7" s="27"/>
      <c r="AA7" s="27"/>
    </row>
    <row r="8" spans="1:27" ht="12.75">
      <c r="A8" s="15" t="s">
        <v>12</v>
      </c>
      <c r="B8" s="31" t="s">
        <v>13</v>
      </c>
      <c r="C8" s="2"/>
      <c r="D8" s="5">
        <v>0.7</v>
      </c>
      <c r="E8" s="14"/>
      <c r="F8" s="31" t="s">
        <v>24</v>
      </c>
      <c r="G8" s="36">
        <f>G7*J3/G2</f>
        <v>55.461824558337675</v>
      </c>
      <c r="H8" s="2"/>
      <c r="I8" s="2" t="s">
        <v>22</v>
      </c>
      <c r="J8" s="8">
        <f>G7/G2</f>
        <v>27.980912568461424</v>
      </c>
      <c r="K8" s="4"/>
      <c r="L8" s="32" t="s">
        <v>36</v>
      </c>
      <c r="M8" s="29">
        <f>M6-M7</f>
        <v>7.993618721174552</v>
      </c>
      <c r="N8" s="4"/>
      <c r="O8" s="28">
        <v>6</v>
      </c>
      <c r="P8" s="30">
        <v>270</v>
      </c>
      <c r="Q8" s="30">
        <v>30</v>
      </c>
      <c r="R8" s="27">
        <f t="shared" si="0"/>
        <v>4970</v>
      </c>
      <c r="S8" s="27">
        <f t="shared" si="3"/>
        <v>270</v>
      </c>
      <c r="T8" s="27">
        <f t="shared" si="4"/>
        <v>4969.7499787459365</v>
      </c>
      <c r="U8" s="27">
        <f t="shared" si="1"/>
        <v>155</v>
      </c>
      <c r="V8" s="27">
        <f t="shared" si="2"/>
        <v>20</v>
      </c>
      <c r="W8" s="27"/>
      <c r="X8" s="27"/>
      <c r="Y8" s="27"/>
      <c r="Z8" s="27"/>
      <c r="AA8" s="27"/>
    </row>
    <row r="9" spans="1:27" ht="12.75">
      <c r="A9" s="19" t="s">
        <v>29</v>
      </c>
      <c r="B9" s="31" t="s">
        <v>0</v>
      </c>
      <c r="C9" s="2"/>
      <c r="D9" s="20">
        <f>150/3600</f>
        <v>0.041666666666666664</v>
      </c>
      <c r="E9" s="14"/>
      <c r="F9" s="31" t="s">
        <v>17</v>
      </c>
      <c r="G9" s="35">
        <f>D2/G7*2</f>
        <v>36.43083438936987</v>
      </c>
      <c r="H9" s="2"/>
      <c r="I9" s="2" t="s">
        <v>23</v>
      </c>
      <c r="J9" s="8">
        <f>J3^2*J7</f>
        <v>89.9409359773423</v>
      </c>
      <c r="K9" s="4"/>
      <c r="L9" s="4" t="s">
        <v>39</v>
      </c>
      <c r="M9" s="33">
        <f>J3-J6*J3^2/G7/4</f>
        <v>0.3749469051088714</v>
      </c>
      <c r="N9" s="4"/>
      <c r="O9" s="28">
        <v>7</v>
      </c>
      <c r="P9" s="30">
        <v>20</v>
      </c>
      <c r="Q9" s="30">
        <v>30</v>
      </c>
      <c r="R9" s="27">
        <f t="shared" si="0"/>
        <v>4990</v>
      </c>
      <c r="S9" s="27">
        <f t="shared" si="3"/>
        <v>20</v>
      </c>
      <c r="T9" s="27">
        <f t="shared" si="4"/>
        <v>4989.7499787459365</v>
      </c>
      <c r="U9" s="27">
        <f t="shared" si="1"/>
        <v>155</v>
      </c>
      <c r="V9" s="27">
        <f t="shared" si="2"/>
        <v>20</v>
      </c>
      <c r="W9" s="27"/>
      <c r="X9" s="27"/>
      <c r="Y9" s="27"/>
      <c r="Z9" s="27"/>
      <c r="AA9" s="27"/>
    </row>
    <row r="10" spans="1:27" ht="12.75">
      <c r="A10" s="19" t="s">
        <v>27</v>
      </c>
      <c r="B10" s="31" t="s">
        <v>28</v>
      </c>
      <c r="C10" s="2"/>
      <c r="D10" s="5">
        <v>2</v>
      </c>
      <c r="O10" s="28">
        <v>8</v>
      </c>
      <c r="P10" s="30">
        <v>10</v>
      </c>
      <c r="Q10" s="30">
        <v>35</v>
      </c>
      <c r="R10" s="27">
        <f t="shared" si="0"/>
        <v>5000</v>
      </c>
      <c r="S10" s="27">
        <f t="shared" si="3"/>
        <v>8.660254037844387</v>
      </c>
      <c r="T10" s="27">
        <f t="shared" si="4"/>
        <v>4998.410232783781</v>
      </c>
      <c r="U10" s="27">
        <f t="shared" si="1"/>
        <v>160</v>
      </c>
      <c r="V10" s="27">
        <f t="shared" si="2"/>
        <v>25</v>
      </c>
      <c r="W10" s="27"/>
      <c r="X10" s="27"/>
      <c r="Y10" s="27"/>
      <c r="Z10" s="27"/>
      <c r="AA10" s="2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